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R - Controlled Documents\DRK10164 RRDE Collection Efficiency Calculator Worksheet REV002\"/>
    </mc:Choice>
  </mc:AlternateContent>
  <bookViews>
    <workbookView xWindow="0" yWindow="0" windowWidth="19170" windowHeight="6240"/>
  </bookViews>
  <sheets>
    <sheet name="Pine RRDE Worksheet" sheetId="1" r:id="rId1"/>
    <sheet name="Intermediate Calculations" sheetId="4" r:id="rId2"/>
  </sheets>
  <definedNames>
    <definedName name="_xlnm.Print_Area" localSheetId="0">'Pine RRDE Worksheet'!$A$1:$M$23</definedName>
  </definedNames>
  <calcPr calcId="162913"/>
</workbook>
</file>

<file path=xl/calcChain.xml><?xml version="1.0" encoding="utf-8"?>
<calcChain xmlns="http://schemas.openxmlformats.org/spreadsheetml/2006/main">
  <c r="C8" i="4" l="1"/>
  <c r="E8" i="4" s="1"/>
  <c r="B8" i="4"/>
  <c r="D8" i="4" s="1"/>
  <c r="J15" i="1"/>
  <c r="H15" i="1"/>
  <c r="L15" i="1" s="1"/>
  <c r="G15" i="1"/>
  <c r="F15" i="1"/>
  <c r="K15" i="1" s="1"/>
  <c r="F8" i="4" l="1"/>
  <c r="G8" i="4"/>
  <c r="I8" i="4"/>
  <c r="I15" i="1"/>
  <c r="F11" i="1"/>
  <c r="K11" i="1" s="1"/>
  <c r="G11" i="1"/>
  <c r="H11" i="1"/>
  <c r="C4" i="4" s="1"/>
  <c r="J11" i="1"/>
  <c r="F12" i="1"/>
  <c r="K12" i="1" s="1"/>
  <c r="G12" i="1"/>
  <c r="I12" i="1" s="1"/>
  <c r="H12" i="1"/>
  <c r="C5" i="4" s="1"/>
  <c r="J12" i="1"/>
  <c r="F13" i="1"/>
  <c r="K13" i="1" s="1"/>
  <c r="G13" i="1"/>
  <c r="B6" i="4" s="1"/>
  <c r="D6" i="4" s="1"/>
  <c r="H13" i="1"/>
  <c r="J13" i="1"/>
  <c r="F14" i="1"/>
  <c r="K14" i="1" s="1"/>
  <c r="G14" i="1"/>
  <c r="H14" i="1"/>
  <c r="C7" i="4" s="1"/>
  <c r="J14" i="1"/>
  <c r="F18" i="1"/>
  <c r="C11" i="4" s="1"/>
  <c r="G18" i="1"/>
  <c r="L18" i="1" s="1"/>
  <c r="H18" i="1"/>
  <c r="J18" i="1"/>
  <c r="K18" i="1"/>
  <c r="F19" i="1"/>
  <c r="G19" i="1"/>
  <c r="I19" i="1" s="1"/>
  <c r="H19" i="1"/>
  <c r="J19" i="1"/>
  <c r="K19" i="1"/>
  <c r="F20" i="1"/>
  <c r="G20" i="1"/>
  <c r="B13" i="4" s="1"/>
  <c r="D13" i="4" s="1"/>
  <c r="H20" i="1"/>
  <c r="C13" i="4" s="1"/>
  <c r="I20" i="1"/>
  <c r="J20" i="1"/>
  <c r="K20" i="1"/>
  <c r="L20" i="1"/>
  <c r="F21" i="1"/>
  <c r="K21" i="1" s="1"/>
  <c r="G21" i="1"/>
  <c r="B14" i="4" s="1"/>
  <c r="D14" i="4" s="1"/>
  <c r="H21" i="1"/>
  <c r="C14" i="4" s="1"/>
  <c r="E14" i="4" s="1"/>
  <c r="J21" i="1"/>
  <c r="L21" i="1"/>
  <c r="F25" i="1"/>
  <c r="G25" i="1"/>
  <c r="B18" i="4" s="1"/>
  <c r="H25" i="1"/>
  <c r="C18" i="4" s="1"/>
  <c r="I25" i="1"/>
  <c r="J25" i="1"/>
  <c r="K25" i="1"/>
  <c r="L25" i="1"/>
  <c r="H8" i="4" l="1"/>
  <c r="K8" i="4" s="1"/>
  <c r="J8" i="4"/>
  <c r="A8" i="4" s="1"/>
  <c r="M15" i="1" s="1"/>
  <c r="I13" i="1"/>
  <c r="C12" i="4"/>
  <c r="C6" i="4"/>
  <c r="E6" i="4" s="1"/>
  <c r="G6" i="4" s="1"/>
  <c r="L12" i="1"/>
  <c r="L13" i="1"/>
  <c r="L19" i="1"/>
  <c r="C17" i="4"/>
  <c r="B17" i="4"/>
  <c r="D17" i="4" s="1"/>
  <c r="I17" i="4" s="1"/>
  <c r="I11" i="1"/>
  <c r="B4" i="4"/>
  <c r="D4" i="4" s="1"/>
  <c r="B12" i="4"/>
  <c r="D12" i="4" s="1"/>
  <c r="B5" i="4"/>
  <c r="D5" i="4" s="1"/>
  <c r="I5" i="4" s="1"/>
  <c r="I21" i="1"/>
  <c r="I14" i="1"/>
  <c r="I18" i="1"/>
  <c r="L14" i="1"/>
  <c r="L11" i="1"/>
  <c r="B7" i="4"/>
  <c r="D7" i="4" s="1"/>
  <c r="B11" i="4"/>
  <c r="D11" i="4" s="1"/>
  <c r="I11" i="4" s="1"/>
  <c r="E13" i="4"/>
  <c r="F13" i="4" s="1"/>
  <c r="E18" i="4"/>
  <c r="D18" i="4"/>
  <c r="I18" i="4" s="1"/>
  <c r="E4" i="4"/>
  <c r="G4" i="4" s="1"/>
  <c r="J4" i="4" s="1"/>
  <c r="I6" i="4"/>
  <c r="I13" i="4"/>
  <c r="I7" i="4"/>
  <c r="I14" i="4"/>
  <c r="F14" i="4"/>
  <c r="G14" i="4"/>
  <c r="I12" i="4"/>
  <c r="I4" i="4"/>
  <c r="E17" i="4" l="1"/>
  <c r="G17" i="4" s="1"/>
  <c r="J17" i="4" s="1"/>
  <c r="F6" i="4"/>
  <c r="F18" i="4"/>
  <c r="G13" i="4"/>
  <c r="J13" i="4" s="1"/>
  <c r="E7" i="4"/>
  <c r="E5" i="4"/>
  <c r="F5" i="4" s="1"/>
  <c r="F12" i="4"/>
  <c r="E12" i="4"/>
  <c r="G12" i="4" s="1"/>
  <c r="J12" i="4" s="1"/>
  <c r="E11" i="4"/>
  <c r="G18" i="4"/>
  <c r="J18" i="4" s="1"/>
  <c r="F4" i="4"/>
  <c r="H4" i="4"/>
  <c r="K4" i="4" s="1"/>
  <c r="A4" i="4" s="1"/>
  <c r="M11" i="1" s="1"/>
  <c r="J14" i="4"/>
  <c r="H14" i="4"/>
  <c r="K14" i="4" s="1"/>
  <c r="H13" i="4"/>
  <c r="K13" i="4" s="1"/>
  <c r="H6" i="4"/>
  <c r="K6" i="4" s="1"/>
  <c r="J6" i="4"/>
  <c r="F17" i="4" l="1"/>
  <c r="A13" i="4"/>
  <c r="M20" i="1" s="1"/>
  <c r="G7" i="4"/>
  <c r="F7" i="4"/>
  <c r="H17" i="4"/>
  <c r="K17" i="4" s="1"/>
  <c r="A17" i="4" s="1"/>
  <c r="M24" i="1" s="1"/>
  <c r="H12" i="4"/>
  <c r="K12" i="4" s="1"/>
  <c r="A12" i="4" s="1"/>
  <c r="M19" i="1" s="1"/>
  <c r="G11" i="4"/>
  <c r="J11" i="4" s="1"/>
  <c r="F11" i="4"/>
  <c r="G5" i="4"/>
  <c r="J5" i="4" s="1"/>
  <c r="A14" i="4"/>
  <c r="M21" i="1" s="1"/>
  <c r="H18" i="4"/>
  <c r="K18" i="4" s="1"/>
  <c r="A18" i="4" s="1"/>
  <c r="M25" i="1" s="1"/>
  <c r="A6" i="4"/>
  <c r="M13" i="1" s="1"/>
  <c r="H11" i="4" l="1"/>
  <c r="K11" i="4" s="1"/>
  <c r="A11" i="4" s="1"/>
  <c r="H5" i="4"/>
  <c r="K5" i="4" s="1"/>
  <c r="J7" i="4"/>
  <c r="H7" i="4"/>
  <c r="K7" i="4" s="1"/>
  <c r="A5" i="4"/>
  <c r="M12" i="1" s="1"/>
  <c r="A7" i="4" l="1"/>
  <c r="M14" i="1" s="1"/>
  <c r="M18" i="1"/>
</calcChain>
</file>

<file path=xl/sharedStrings.xml><?xml version="1.0" encoding="utf-8"?>
<sst xmlns="http://schemas.openxmlformats.org/spreadsheetml/2006/main" count="57" uniqueCount="48">
  <si>
    <t>ring OD</t>
  </si>
  <si>
    <t>shroud OD</t>
  </si>
  <si>
    <t>disk OD</t>
  </si>
  <si>
    <t>gap</t>
  </si>
  <si>
    <t>Collection Efficiency</t>
  </si>
  <si>
    <t>R2/R1</t>
  </si>
  <si>
    <t>R3/R1</t>
  </si>
  <si>
    <t>a</t>
  </si>
  <si>
    <t>b</t>
  </si>
  <si>
    <t>F(a)</t>
  </si>
  <si>
    <t>F(a/b)</t>
  </si>
  <si>
    <t>(a/b)</t>
  </si>
  <si>
    <t>(a/b)(1+a+b)</t>
  </si>
  <si>
    <t>F[(a/b)(1+a+b)]</t>
  </si>
  <si>
    <t>(1+a+b)</t>
  </si>
  <si>
    <t>ring ID</t>
  </si>
  <si>
    <t>RRDE Efficiency Calculator</t>
  </si>
  <si>
    <t>These are Intermediate Calculation Results</t>
  </si>
  <si>
    <t>disk</t>
  </si>
  <si>
    <t>ring</t>
  </si>
  <si>
    <t>E7R8 Series</t>
  </si>
  <si>
    <t>E7R9 Series</t>
  </si>
  <si>
    <t>MT28 Series</t>
  </si>
  <si>
    <t>Metric Diameters</t>
  </si>
  <si>
    <t>Metric Radii</t>
  </si>
  <si>
    <t>(%)</t>
  </si>
  <si>
    <t>MT29 Series</t>
  </si>
  <si>
    <t>MTI34 Series</t>
  </si>
  <si>
    <t>MTI36 Series</t>
  </si>
  <si>
    <t>Enter Your Own Dimensions Here</t>
  </si>
  <si>
    <t>outer radius</t>
  </si>
  <si>
    <t>inner radius</t>
  </si>
  <si>
    <t>disk-ring</t>
  </si>
  <si>
    <t>shroud</t>
  </si>
  <si>
    <t>thickness</t>
  </si>
  <si>
    <t>(mm)</t>
  </si>
  <si>
    <t>custom</t>
  </si>
  <si>
    <t>Metric Areas</t>
  </si>
  <si>
    <r>
      <t>(cm</t>
    </r>
    <r>
      <rPr>
        <vertAlign val="superscript"/>
        <sz val="10"/>
        <rFont val="Century Gothic"/>
        <family val="2"/>
      </rPr>
      <t>2</t>
    </r>
    <r>
      <rPr>
        <sz val="10"/>
        <rFont val="Century Gothic"/>
        <family val="2"/>
      </rPr>
      <t>)</t>
    </r>
  </si>
  <si>
    <t>N (%)</t>
  </si>
  <si>
    <t>E6R1 Series</t>
  </si>
  <si>
    <t>E6R2 Series</t>
  </si>
  <si>
    <t>Retired Pine Research RRDE Series</t>
  </si>
  <si>
    <t>Modern Pine Research RRDE Series</t>
  </si>
  <si>
    <t>This Microsoft Excel Worksheet provides an easy way to predict the theoretical collection efficiency for any Rotated Ring-Disk Electrode (RRDE).  The equations used by this worksheet are taken       from the classic text Electrochemical Methods, by Alan Bard and Larry Faulkner (John Wiley &amp; Sons, 1980); (See equation 8.4.16 in section 8.4.2 of the text for more information).                                         Note: Pine Research actually machines electrodes using English (Imperial) units.  The metric dimensions in the following table are nearest Metric equivalent.</t>
  </si>
  <si>
    <t>E8 Series</t>
  </si>
  <si>
    <t>© Pine Instrument Company, 1998-2005; © Pine Research Instrumentation, 2006-2019.  All Rights Reserved.</t>
  </si>
  <si>
    <t>Document #: DRK10164 (REV003 | FEB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</si>
</sst>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%"/>
  </numFmts>
  <fonts count="12" x14ac:knownFonts="1">
    <font>
      <sz val="10"/>
      <name val="Arial"/>
    </font>
    <font>
      <sz val="10"/>
      <name val="Arial"/>
    </font>
    <font>
      <sz val="24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vertAlign val="superscript"/>
      <sz val="10"/>
      <name val="Century Gothic"/>
      <family val="2"/>
    </font>
    <font>
      <b/>
      <sz val="12"/>
      <name val="Century Gothic"/>
      <family val="2"/>
    </font>
    <font>
      <b/>
      <sz val="24"/>
      <color theme="0"/>
      <name val="Century Gothic"/>
      <family val="2"/>
    </font>
    <font>
      <i/>
      <sz val="11"/>
      <color theme="0"/>
      <name val="Century Gothic"/>
      <family val="2"/>
    </font>
    <font>
      <i/>
      <sz val="10"/>
      <name val="Century Gothic"/>
      <family val="2"/>
    </font>
    <font>
      <i/>
      <sz val="10"/>
      <name val="Arial"/>
      <family val="2"/>
    </font>
    <font>
      <b/>
      <i/>
      <sz val="11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164" fontId="3" fillId="0" borderId="4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 applyProtection="1">
      <alignment horizontal="center" vertical="center"/>
      <protection locked="0"/>
    </xf>
    <xf numFmtId="2" fontId="3" fillId="7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2" fontId="3" fillId="5" borderId="3" xfId="0" applyNumberFormat="1" applyFont="1" applyFill="1" applyBorder="1" applyAlignment="1" applyProtection="1">
      <alignment horizontal="center" vertical="center"/>
      <protection locked="0"/>
    </xf>
    <xf numFmtId="2" fontId="3" fillId="7" borderId="3" xfId="0" applyNumberFormat="1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164" fontId="3" fillId="6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0" fillId="0" borderId="10" xfId="0" applyBorder="1"/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 applyProtection="1">
      <alignment horizontal="left"/>
      <protection locked="0"/>
    </xf>
    <xf numFmtId="165" fontId="4" fillId="7" borderId="12" xfId="1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 applyProtection="1">
      <alignment horizontal="left"/>
      <protection locked="0"/>
    </xf>
    <xf numFmtId="164" fontId="4" fillId="0" borderId="11" xfId="0" applyNumberFormat="1" applyFont="1" applyFill="1" applyBorder="1" applyAlignment="1">
      <alignment horizontal="center"/>
    </xf>
    <xf numFmtId="164" fontId="4" fillId="0" borderId="17" xfId="0" applyNumberFormat="1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8" xfId="0" applyFont="1" applyFill="1" applyBorder="1" applyAlignment="1" applyProtection="1">
      <alignment horizontal="left"/>
      <protection locked="0"/>
    </xf>
    <xf numFmtId="2" fontId="3" fillId="5" borderId="19" xfId="0" applyNumberFormat="1" applyFont="1" applyFill="1" applyBorder="1" applyAlignment="1" applyProtection="1">
      <alignment horizontal="center" vertical="center"/>
      <protection locked="0"/>
    </xf>
    <xf numFmtId="2" fontId="3" fillId="7" borderId="19" xfId="0" applyNumberFormat="1" applyFont="1" applyFill="1" applyBorder="1" applyAlignment="1">
      <alignment horizontal="center" vertical="center"/>
    </xf>
    <xf numFmtId="164" fontId="3" fillId="5" borderId="19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10" fillId="0" borderId="0" xfId="0" applyFont="1"/>
    <xf numFmtId="164" fontId="6" fillId="0" borderId="10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wrapText="1"/>
    </xf>
    <xf numFmtId="164" fontId="6" fillId="0" borderId="20" xfId="0" applyNumberFormat="1" applyFont="1" applyFill="1" applyBorder="1" applyAlignment="1">
      <alignment horizontal="left" wrapText="1"/>
    </xf>
    <xf numFmtId="0" fontId="7" fillId="8" borderId="7" xfId="0" applyFont="1" applyFill="1" applyBorder="1" applyAlignment="1">
      <alignment horizontal="center"/>
    </xf>
    <xf numFmtId="0" fontId="7" fillId="8" borderId="8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/>
    </xf>
    <xf numFmtId="0" fontId="8" fillId="8" borderId="1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zoomScale="85" zoomScaleNormal="85" workbookViewId="0">
      <selection sqref="A1:M1"/>
    </sheetView>
  </sheetViews>
  <sheetFormatPr defaultColWidth="9.140625" defaultRowHeight="19.899999999999999" customHeight="1" x14ac:dyDescent="0.25"/>
  <cols>
    <col min="1" max="1" width="27.28515625" style="4" customWidth="1"/>
    <col min="2" max="5" width="10" style="4" customWidth="1"/>
    <col min="6" max="10" width="12.42578125" style="4" customWidth="1"/>
    <col min="11" max="12" width="11.28515625" style="2" customWidth="1"/>
    <col min="13" max="13" width="22.5703125" style="2" customWidth="1"/>
    <col min="14" max="16384" width="9.140625" style="2"/>
  </cols>
  <sheetData>
    <row r="1" spans="1:13" s="1" customFormat="1" ht="34.9" customHeight="1" x14ac:dyDescent="0.4">
      <c r="A1" s="39" t="s">
        <v>16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7" customFormat="1" ht="19.899999999999999" customHeight="1" x14ac:dyDescent="0.2">
      <c r="A2" s="42" t="s">
        <v>46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7" customFormat="1" ht="19.899999999999999" customHeight="1" x14ac:dyDescent="0.2">
      <c r="A3" s="45" t="s">
        <v>47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4"/>
    </row>
    <row r="4" spans="1:13" s="3" customFormat="1" ht="18" customHeight="1" x14ac:dyDescent="0.25">
      <c r="A4" s="46" t="s">
        <v>44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8"/>
    </row>
    <row r="5" spans="1:13" s="3" customFormat="1" ht="18" customHeight="1" x14ac:dyDescent="0.25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8"/>
    </row>
    <row r="6" spans="1:13" s="3" customFormat="1" ht="18" customHeight="1" x14ac:dyDescent="0.25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3" s="3" customFormat="1" ht="18" customHeight="1" x14ac:dyDescent="0.25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ht="19.899999999999999" customHeight="1" x14ac:dyDescent="0.25">
      <c r="A8" s="21"/>
      <c r="B8" s="49" t="s">
        <v>23</v>
      </c>
      <c r="C8" s="49"/>
      <c r="D8" s="49"/>
      <c r="E8" s="50"/>
      <c r="F8" s="51" t="s">
        <v>24</v>
      </c>
      <c r="G8" s="52"/>
      <c r="H8" s="52"/>
      <c r="I8" s="52"/>
      <c r="J8" s="53"/>
      <c r="K8" s="54" t="s">
        <v>37</v>
      </c>
      <c r="L8" s="50"/>
      <c r="M8" s="22" t="s">
        <v>4</v>
      </c>
    </row>
    <row r="9" spans="1:13" ht="24" customHeight="1" x14ac:dyDescent="0.25">
      <c r="A9" s="36" t="s">
        <v>43</v>
      </c>
      <c r="B9" s="9" t="s">
        <v>2</v>
      </c>
      <c r="C9" s="10" t="s">
        <v>15</v>
      </c>
      <c r="D9" s="10" t="s">
        <v>0</v>
      </c>
      <c r="E9" s="10" t="s">
        <v>1</v>
      </c>
      <c r="F9" s="11" t="s">
        <v>18</v>
      </c>
      <c r="G9" s="11" t="s">
        <v>19</v>
      </c>
      <c r="H9" s="11" t="s">
        <v>19</v>
      </c>
      <c r="I9" s="11" t="s">
        <v>32</v>
      </c>
      <c r="J9" s="11" t="s">
        <v>33</v>
      </c>
      <c r="K9" s="10" t="s">
        <v>18</v>
      </c>
      <c r="L9" s="10" t="s">
        <v>19</v>
      </c>
      <c r="M9" s="23" t="s">
        <v>25</v>
      </c>
    </row>
    <row r="10" spans="1:13" ht="24" customHeight="1" thickBot="1" x14ac:dyDescent="0.3">
      <c r="A10" s="37"/>
      <c r="B10" s="9" t="s">
        <v>35</v>
      </c>
      <c r="C10" s="10" t="s">
        <v>35</v>
      </c>
      <c r="D10" s="10" t="s">
        <v>35</v>
      </c>
      <c r="E10" s="10" t="s">
        <v>35</v>
      </c>
      <c r="F10" s="11" t="s">
        <v>30</v>
      </c>
      <c r="G10" s="11" t="s">
        <v>31</v>
      </c>
      <c r="H10" s="11" t="s">
        <v>30</v>
      </c>
      <c r="I10" s="11" t="s">
        <v>3</v>
      </c>
      <c r="J10" s="11" t="s">
        <v>34</v>
      </c>
      <c r="K10" s="10" t="s">
        <v>38</v>
      </c>
      <c r="L10" s="10" t="s">
        <v>38</v>
      </c>
      <c r="M10" s="23"/>
    </row>
    <row r="11" spans="1:13" ht="19.899999999999999" customHeight="1" x14ac:dyDescent="0.25">
      <c r="A11" s="24" t="s">
        <v>40</v>
      </c>
      <c r="B11" s="15">
        <v>5</v>
      </c>
      <c r="C11" s="15">
        <v>6.5</v>
      </c>
      <c r="D11" s="15">
        <v>7.5</v>
      </c>
      <c r="E11" s="15">
        <v>15</v>
      </c>
      <c r="F11" s="16">
        <f t="shared" ref="F11:H14" si="0">IF(ISBLANK(B11),"",B11/2)</f>
        <v>2.5</v>
      </c>
      <c r="G11" s="16">
        <f t="shared" si="0"/>
        <v>3.25</v>
      </c>
      <c r="H11" s="16">
        <f t="shared" si="0"/>
        <v>3.75</v>
      </c>
      <c r="I11" s="16">
        <f>IF(OR(ISBLANK(B11),ISBLANK(C11)),"",G11-F11)</f>
        <v>0.75</v>
      </c>
      <c r="J11" s="16">
        <f>IF(OR(ISBLANK(E11),ISBLANK(D11)),"",E11-D11)</f>
        <v>7.5</v>
      </c>
      <c r="K11" s="17">
        <f>IF(ISBLANK(B11),"",PI()*F11*F11/100)</f>
        <v>0.19634954084936207</v>
      </c>
      <c r="L11" s="17">
        <f>IF(OR(ISBLANK(C11),ISBLANK(D11)),"",PI()/100*(H11*H11-G11*G11))</f>
        <v>0.10995574287564278</v>
      </c>
      <c r="M11" s="25">
        <f>IF(ISERROR('Intermediate Calculations'!A4),"",'Intermediate Calculations'!A4)</f>
        <v>0.25551137455649897</v>
      </c>
    </row>
    <row r="12" spans="1:13" ht="19.899999999999999" customHeight="1" x14ac:dyDescent="0.25">
      <c r="A12" s="26" t="s">
        <v>41</v>
      </c>
      <c r="B12" s="12">
        <v>5.5</v>
      </c>
      <c r="C12" s="12">
        <v>6.5</v>
      </c>
      <c r="D12" s="12">
        <v>8.5</v>
      </c>
      <c r="E12" s="12">
        <v>15</v>
      </c>
      <c r="F12" s="13">
        <f t="shared" si="0"/>
        <v>2.75</v>
      </c>
      <c r="G12" s="13">
        <f t="shared" si="0"/>
        <v>3.25</v>
      </c>
      <c r="H12" s="13">
        <f t="shared" si="0"/>
        <v>4.25</v>
      </c>
      <c r="I12" s="13">
        <f>IF(OR(ISBLANK(B12),ISBLANK(C12)),"",G12-F12)</f>
        <v>0.5</v>
      </c>
      <c r="J12" s="13">
        <f>IF(OR(ISBLANK(E12),ISBLANK(D12)),"",E12-D12)</f>
        <v>6.5</v>
      </c>
      <c r="K12" s="14">
        <f>IF(ISBLANK(B12),"",PI()*F12*F12/100)</f>
        <v>0.23758294442772809</v>
      </c>
      <c r="L12" s="14">
        <f>IF(OR(ISBLANK(C12),ISBLANK(D12)),"",PI()/100*(H12*H12-G12*G12))</f>
        <v>0.23561944901923451</v>
      </c>
      <c r="M12" s="25">
        <f>IF(ISERROR('Intermediate Calculations'!A5),"",'Intermediate Calculations'!A5)</f>
        <v>0.38337156029893027</v>
      </c>
    </row>
    <row r="13" spans="1:13" ht="19.899999999999999" customHeight="1" x14ac:dyDescent="0.25">
      <c r="A13" s="26" t="s">
        <v>20</v>
      </c>
      <c r="B13" s="12">
        <v>4.57</v>
      </c>
      <c r="C13" s="12">
        <v>4.93</v>
      </c>
      <c r="D13" s="12">
        <v>5.38</v>
      </c>
      <c r="E13" s="12">
        <v>15</v>
      </c>
      <c r="F13" s="13">
        <f t="shared" si="0"/>
        <v>2.2850000000000001</v>
      </c>
      <c r="G13" s="13">
        <f t="shared" si="0"/>
        <v>2.4649999999999999</v>
      </c>
      <c r="H13" s="13">
        <f t="shared" si="0"/>
        <v>2.69</v>
      </c>
      <c r="I13" s="13">
        <f>IF(OR(ISBLANK(B13),ISBLANK(C13)),"",G13-F13)</f>
        <v>0.17999999999999972</v>
      </c>
      <c r="J13" s="13">
        <f>IF(OR(ISBLANK(E13),ISBLANK(D13)),"",E13-D13)</f>
        <v>9.620000000000001</v>
      </c>
      <c r="K13" s="14">
        <f>IF(ISBLANK(B13),"",PI()*F13*F13/100)</f>
        <v>0.16402962102739368</v>
      </c>
      <c r="L13" s="14">
        <f>IF(OR(ISBLANK(C13),ISBLANK(D13)),"",PI()/100*(H13*H13-G13*G13))</f>
        <v>3.643854779082463E-2</v>
      </c>
      <c r="M13" s="25">
        <f>IF(ISERROR('Intermediate Calculations'!A6),"",'Intermediate Calculations'!A6)</f>
        <v>0.21788853505086797</v>
      </c>
    </row>
    <row r="14" spans="1:13" ht="19.899999999999999" customHeight="1" x14ac:dyDescent="0.25">
      <c r="A14" s="26" t="s">
        <v>21</v>
      </c>
      <c r="B14" s="12">
        <v>5.61</v>
      </c>
      <c r="C14" s="12">
        <v>6.25</v>
      </c>
      <c r="D14" s="12">
        <v>7.92</v>
      </c>
      <c r="E14" s="12">
        <v>15</v>
      </c>
      <c r="F14" s="13">
        <f t="shared" si="0"/>
        <v>2.8050000000000002</v>
      </c>
      <c r="G14" s="13">
        <f t="shared" si="0"/>
        <v>3.125</v>
      </c>
      <c r="H14" s="13">
        <f t="shared" si="0"/>
        <v>3.96</v>
      </c>
      <c r="I14" s="13">
        <f>IF(OR(ISBLANK(B14),ISBLANK(C14)),"",G14-F14)</f>
        <v>0.31999999999999984</v>
      </c>
      <c r="J14" s="13">
        <f>IF(OR(ISBLANK(E14),ISBLANK(D14)),"",E14-D14)</f>
        <v>7.08</v>
      </c>
      <c r="K14" s="14">
        <f>IF(ISBLANK(B14),"",PI()*F14*F14/100)</f>
        <v>0.24718129538260836</v>
      </c>
      <c r="L14" s="14">
        <f>IF(OR(ISBLANK(C14),ISBLANK(D14)),"",PI()/100*(H14*H14-G14*G14))</f>
        <v>0.18585583598820876</v>
      </c>
      <c r="M14" s="25">
        <f>IF(ISERROR('Intermediate Calculations'!A7),"",'Intermediate Calculations'!A7)</f>
        <v>0.37049065895336464</v>
      </c>
    </row>
    <row r="15" spans="1:13" ht="19.899999999999999" customHeight="1" x14ac:dyDescent="0.25">
      <c r="A15" s="26" t="s">
        <v>45</v>
      </c>
      <c r="B15" s="12">
        <v>5</v>
      </c>
      <c r="C15" s="12">
        <v>6</v>
      </c>
      <c r="D15" s="12">
        <v>8.5</v>
      </c>
      <c r="E15" s="12">
        <v>15</v>
      </c>
      <c r="F15" s="13">
        <f t="shared" ref="F15" si="1">IF(ISBLANK(B15),"",B15/2)</f>
        <v>2.5</v>
      </c>
      <c r="G15" s="13">
        <f t="shared" ref="G15" si="2">IF(ISBLANK(C15),"",C15/2)</f>
        <v>3</v>
      </c>
      <c r="H15" s="13">
        <f t="shared" ref="H15" si="3">IF(ISBLANK(D15),"",D15/2)</f>
        <v>4.25</v>
      </c>
      <c r="I15" s="13">
        <f>IF(OR(ISBLANK(B15),ISBLANK(C15)),"",G15-F15)</f>
        <v>0.5</v>
      </c>
      <c r="J15" s="13">
        <f>IF(OR(ISBLANK(E15),ISBLANK(D15)),"",E15-D15)</f>
        <v>6.5</v>
      </c>
      <c r="K15" s="14">
        <f>IF(ISBLANK(B15),"",PI()*F15*F15/100)</f>
        <v>0.19634954084936207</v>
      </c>
      <c r="L15" s="14">
        <f>IF(OR(ISBLANK(C15),ISBLANK(D15)),"",PI()/100*(H15*H15-G15*G15))</f>
        <v>0.284706834231575</v>
      </c>
      <c r="M15" s="25">
        <f>IF(ISERROR('Intermediate Calculations'!A8),"",'Intermediate Calculations'!A8)</f>
        <v>0.43853090690177499</v>
      </c>
    </row>
    <row r="16" spans="1:13" ht="24" customHeight="1" x14ac:dyDescent="0.25">
      <c r="A16" s="38" t="s">
        <v>42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27"/>
    </row>
    <row r="17" spans="1:13" ht="24" customHeight="1" thickBot="1" x14ac:dyDescent="0.3">
      <c r="A17" s="3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28"/>
    </row>
    <row r="18" spans="1:13" ht="19.899999999999999" customHeight="1" x14ac:dyDescent="0.25">
      <c r="A18" s="24" t="s">
        <v>22</v>
      </c>
      <c r="B18" s="15">
        <v>4.57</v>
      </c>
      <c r="C18" s="15">
        <v>4.93</v>
      </c>
      <c r="D18" s="15">
        <v>5.38</v>
      </c>
      <c r="E18" s="15">
        <v>13.5</v>
      </c>
      <c r="F18" s="16">
        <f t="shared" ref="F18:H21" si="4">IF(ISBLANK(B18),"",B18/2)</f>
        <v>2.2850000000000001</v>
      </c>
      <c r="G18" s="16">
        <f t="shared" si="4"/>
        <v>2.4649999999999999</v>
      </c>
      <c r="H18" s="16">
        <f t="shared" si="4"/>
        <v>2.69</v>
      </c>
      <c r="I18" s="16">
        <f>IF(OR(ISBLANK(B18),ISBLANK(C18)),"",G18-F18)</f>
        <v>0.17999999999999972</v>
      </c>
      <c r="J18" s="16">
        <f>IF(OR(ISBLANK(E18),ISBLANK(D18)),"",E18-D18)</f>
        <v>8.120000000000001</v>
      </c>
      <c r="K18" s="17">
        <f>IF(ISBLANK(B18),"",PI()*F18*F18/100)</f>
        <v>0.16402962102739368</v>
      </c>
      <c r="L18" s="17">
        <f>IF(OR(ISBLANK(C18),ISBLANK(D18)),"",PI()/100*(H18*H18-G18*G18))</f>
        <v>3.643854779082463E-2</v>
      </c>
      <c r="M18" s="25">
        <f>IF(ISERROR('Intermediate Calculations'!A11),"",'Intermediate Calculations'!A11)</f>
        <v>0.21788853505086797</v>
      </c>
    </row>
    <row r="19" spans="1:13" ht="19.899999999999999" customHeight="1" x14ac:dyDescent="0.25">
      <c r="A19" s="26" t="s">
        <v>26</v>
      </c>
      <c r="B19" s="12">
        <v>5.61</v>
      </c>
      <c r="C19" s="12">
        <v>6.25</v>
      </c>
      <c r="D19" s="12">
        <v>7.92</v>
      </c>
      <c r="E19" s="12">
        <v>13.5</v>
      </c>
      <c r="F19" s="13">
        <f t="shared" si="4"/>
        <v>2.8050000000000002</v>
      </c>
      <c r="G19" s="13">
        <f t="shared" si="4"/>
        <v>3.125</v>
      </c>
      <c r="H19" s="13">
        <f t="shared" si="4"/>
        <v>3.96</v>
      </c>
      <c r="I19" s="13">
        <f>IF(OR(ISBLANK(B19),ISBLANK(C19)),"",G19-F19)</f>
        <v>0.31999999999999984</v>
      </c>
      <c r="J19" s="13">
        <f>IF(OR(ISBLANK(E19),ISBLANK(D19)),"",E19-D19)</f>
        <v>5.58</v>
      </c>
      <c r="K19" s="14">
        <f>IF(ISBLANK(B19),"",PI()*F19*F19/100)</f>
        <v>0.24718129538260836</v>
      </c>
      <c r="L19" s="14">
        <f>IF(OR(ISBLANK(C19),ISBLANK(D19)),"",PI()/100*(H19*H19-G19*G19))</f>
        <v>0.18585583598820876</v>
      </c>
      <c r="M19" s="25">
        <f>IF(ISERROR('Intermediate Calculations'!A12),"",'Intermediate Calculations'!A12)</f>
        <v>0.37049065895336464</v>
      </c>
    </row>
    <row r="20" spans="1:13" ht="19.899999999999999" customHeight="1" x14ac:dyDescent="0.25">
      <c r="A20" s="26" t="s">
        <v>27</v>
      </c>
      <c r="B20" s="12">
        <v>6</v>
      </c>
      <c r="C20" s="12">
        <v>7.5</v>
      </c>
      <c r="D20" s="12">
        <v>8.5</v>
      </c>
      <c r="E20" s="12">
        <v>15</v>
      </c>
      <c r="F20" s="13">
        <f t="shared" si="4"/>
        <v>3</v>
      </c>
      <c r="G20" s="13">
        <f t="shared" si="4"/>
        <v>3.75</v>
      </c>
      <c r="H20" s="13">
        <f t="shared" si="4"/>
        <v>4.25</v>
      </c>
      <c r="I20" s="13">
        <f>IF(OR(ISBLANK(B20),ISBLANK(C20)),"",G20-F20)</f>
        <v>0.75</v>
      </c>
      <c r="J20" s="13">
        <f>IF(OR(ISBLANK(E20),ISBLANK(D20)),"",E20-D20)</f>
        <v>6.5</v>
      </c>
      <c r="K20" s="14">
        <f>IF(ISBLANK(B20),"",PI()*F20*F20/100)</f>
        <v>0.28274333882308139</v>
      </c>
      <c r="L20" s="14">
        <f>IF(OR(ISBLANK(C20),ISBLANK(D20)),"",PI()/100*(H20*H20-G20*G20))</f>
        <v>0.12566370614359174</v>
      </c>
      <c r="M20" s="25">
        <f>IF(ISERROR('Intermediate Calculations'!A13),"",'Intermediate Calculations'!A13)</f>
        <v>0.23975859134314526</v>
      </c>
    </row>
    <row r="21" spans="1:13" ht="19.899999999999999" customHeight="1" x14ac:dyDescent="0.25">
      <c r="A21" s="26" t="s">
        <v>28</v>
      </c>
      <c r="B21" s="12">
        <v>5</v>
      </c>
      <c r="C21" s="12">
        <v>7.5</v>
      </c>
      <c r="D21" s="12">
        <v>8.5</v>
      </c>
      <c r="E21" s="12">
        <v>15</v>
      </c>
      <c r="F21" s="13">
        <f t="shared" si="4"/>
        <v>2.5</v>
      </c>
      <c r="G21" s="13">
        <f t="shared" si="4"/>
        <v>3.75</v>
      </c>
      <c r="H21" s="13">
        <f t="shared" si="4"/>
        <v>4.25</v>
      </c>
      <c r="I21" s="13">
        <f>IF(OR(ISBLANK(B21),ISBLANK(C21)),"",G21-F21)</f>
        <v>1.25</v>
      </c>
      <c r="J21" s="13">
        <f>IF(OR(ISBLANK(E21),ISBLANK(D21)),"",E21-D21)</f>
        <v>6.5</v>
      </c>
      <c r="K21" s="14">
        <f>IF(ISBLANK(B21),"",PI()*F21*F21/100)</f>
        <v>0.19634954084936207</v>
      </c>
      <c r="L21" s="14">
        <f>IF(OR(ISBLANK(C21),ISBLANK(D21)),"",PI()/100*(H21*H21-G21*G21))</f>
        <v>0.12566370614359174</v>
      </c>
      <c r="M21" s="25">
        <f>IF(ISERROR('Intermediate Calculations'!A14),"",'Intermediate Calculations'!A14)</f>
        <v>0.22510704935808118</v>
      </c>
    </row>
    <row r="22" spans="1:13" ht="24" customHeight="1" x14ac:dyDescent="0.25">
      <c r="A22" s="38" t="s">
        <v>29</v>
      </c>
      <c r="B22" s="5"/>
      <c r="C22" s="5"/>
      <c r="D22" s="5"/>
      <c r="E22" s="5"/>
      <c r="F22" s="5"/>
      <c r="G22" s="5"/>
      <c r="H22" s="5"/>
      <c r="I22" s="5"/>
      <c r="J22" s="5"/>
      <c r="K22" s="20"/>
      <c r="L22" s="20"/>
      <c r="M22" s="29"/>
    </row>
    <row r="23" spans="1:13" ht="24" customHeight="1" thickBot="1" x14ac:dyDescent="0.3">
      <c r="A23" s="3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28"/>
    </row>
    <row r="24" spans="1:13" ht="19.899999999999999" customHeight="1" x14ac:dyDescent="0.25">
      <c r="A24" s="24" t="s">
        <v>36</v>
      </c>
      <c r="B24" s="15"/>
      <c r="C24" s="15"/>
      <c r="D24" s="15"/>
      <c r="E24" s="15"/>
      <c r="F24" s="16"/>
      <c r="G24" s="16"/>
      <c r="H24" s="16"/>
      <c r="I24" s="16"/>
      <c r="J24" s="16"/>
      <c r="K24" s="17"/>
      <c r="L24" s="17"/>
      <c r="M24" s="25" t="str">
        <f>IF(ISERROR('Intermediate Calculations'!A17),"",'Intermediate Calculations'!A17)</f>
        <v/>
      </c>
    </row>
    <row r="25" spans="1:13" ht="19.899999999999999" customHeight="1" thickBot="1" x14ac:dyDescent="0.3">
      <c r="A25" s="30" t="s">
        <v>36</v>
      </c>
      <c r="B25" s="31"/>
      <c r="C25" s="31"/>
      <c r="D25" s="31"/>
      <c r="E25" s="31"/>
      <c r="F25" s="32" t="str">
        <f t="shared" ref="F25:H25" si="5">IF(ISBLANK(B25),"",B25/2)</f>
        <v/>
      </c>
      <c r="G25" s="32" t="str">
        <f t="shared" si="5"/>
        <v/>
      </c>
      <c r="H25" s="32" t="str">
        <f t="shared" si="5"/>
        <v/>
      </c>
      <c r="I25" s="32" t="str">
        <f>IF(OR(ISBLANK(B25),ISBLANK(C25)),"",G25-F25)</f>
        <v/>
      </c>
      <c r="J25" s="32" t="str">
        <f>IF(OR(ISBLANK(E25),ISBLANK(D25)),"",E25-D25)</f>
        <v/>
      </c>
      <c r="K25" s="33" t="str">
        <f>IF(ISBLANK(B25),"",PI()*F25*F25/100)</f>
        <v/>
      </c>
      <c r="L25" s="33" t="str">
        <f>IF(OR(ISBLANK(C25),ISBLANK(D25)),"",PI()/100*(H25*H25-G25*G25))</f>
        <v/>
      </c>
      <c r="M25" s="25" t="str">
        <f>IF(ISERROR('Intermediate Calculations'!A18),"",'Intermediate Calculations'!A18)</f>
        <v/>
      </c>
    </row>
  </sheetData>
  <mergeCells count="10">
    <mergeCell ref="A9:A10"/>
    <mergeCell ref="A16:A17"/>
    <mergeCell ref="A22:A23"/>
    <mergeCell ref="A1:M1"/>
    <mergeCell ref="A2:M2"/>
    <mergeCell ref="A3:M3"/>
    <mergeCell ref="A4:M7"/>
    <mergeCell ref="B8:E8"/>
    <mergeCell ref="F8:J8"/>
    <mergeCell ref="K8:L8"/>
  </mergeCells>
  <phoneticPr fontId="0" type="noConversion"/>
  <printOptions horizontalCentered="1" verticalCentered="1"/>
  <pageMargins left="0.75" right="0.75" top="1" bottom="1" header="0.5" footer="0.5"/>
  <pageSetup scale="92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sqref="A1:K1"/>
    </sheetView>
  </sheetViews>
  <sheetFormatPr defaultRowHeight="12.75" x14ac:dyDescent="0.2"/>
  <cols>
    <col min="1" max="11" width="15.5703125" bestFit="1" customWidth="1"/>
  </cols>
  <sheetData>
    <row r="1" spans="1:11" ht="25.9" customHeight="1" x14ac:dyDescent="0.2">
      <c r="A1" s="55" t="s">
        <v>17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s="35" customFormat="1" x14ac:dyDescent="0.2">
      <c r="A2" s="34" t="s">
        <v>39</v>
      </c>
      <c r="B2" s="34" t="s">
        <v>5</v>
      </c>
      <c r="C2" s="34" t="s">
        <v>6</v>
      </c>
      <c r="D2" s="34" t="s">
        <v>7</v>
      </c>
      <c r="E2" s="34" t="s">
        <v>8</v>
      </c>
      <c r="F2" s="34" t="s">
        <v>14</v>
      </c>
      <c r="G2" s="34" t="s">
        <v>11</v>
      </c>
      <c r="H2" s="34" t="s">
        <v>12</v>
      </c>
      <c r="I2" s="34" t="s">
        <v>9</v>
      </c>
      <c r="J2" s="34" t="s">
        <v>10</v>
      </c>
      <c r="K2" s="34" t="s">
        <v>13</v>
      </c>
    </row>
    <row r="3" spans="1:11" ht="13.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3.5" x14ac:dyDescent="0.25">
      <c r="A4" s="19">
        <f>1-J4+E4^(2/3)*(1-I4)-(F4^(2/3))*(1-K4)</f>
        <v>0.25551137455649897</v>
      </c>
      <c r="B4" s="19">
        <f>'Pine RRDE Worksheet'!G11/'Pine RRDE Worksheet'!F11</f>
        <v>1.3</v>
      </c>
      <c r="C4" s="19">
        <f>'Pine RRDE Worksheet'!H11/'Pine RRDE Worksheet'!F11</f>
        <v>1.5</v>
      </c>
      <c r="D4" s="19">
        <f>B4^3-1</f>
        <v>1.1970000000000005</v>
      </c>
      <c r="E4" s="19">
        <f>C4^3-B4^3</f>
        <v>1.1779999999999995</v>
      </c>
      <c r="F4" s="19">
        <f>1+D4+E4</f>
        <v>3.375</v>
      </c>
      <c r="G4" s="19">
        <f>D4/E4</f>
        <v>1.0161290322580654</v>
      </c>
      <c r="H4" s="19">
        <f>G4*F4</f>
        <v>3.4294354838709706</v>
      </c>
      <c r="I4" s="19">
        <f>0.25+(SQRT(3)/(4*PI()))*LN(((1+D4^(1/3))^3)/(1+D4))+(3/(2*PI()))*ATAN((2*D4^(1/3)-1)/SQRT(3))</f>
        <v>0.71546050966840191</v>
      </c>
      <c r="J4" s="19">
        <f>0.25+(SQRT(3)/(4*PI()))*LN(((1+G4^(1/3))^3)/(1+G4))+(3/(2*PI()))*ATAN((2*G4^(1/3)-1)/SQRT(3))</f>
        <v>0.69327843593004612</v>
      </c>
      <c r="K4" s="19">
        <f>0.25+(SQRT(3)/(4*PI()))*LN((1+H4^(1/3))^3/(1+H4))+(3/(2*PI()))*ATAN((2*H4^(1/3)-1)/SQRT(3))</f>
        <v>0.83618435079162534</v>
      </c>
    </row>
    <row r="5" spans="1:11" ht="13.5" x14ac:dyDescent="0.25">
      <c r="A5" s="19">
        <f t="shared" ref="A5:A18" si="0">1-J5+E5^(2/3)*(1-I5)-(F5^(2/3))*(1-K5)</f>
        <v>0.38337156029893027</v>
      </c>
      <c r="B5" s="19">
        <f>'Pine RRDE Worksheet'!G12/'Pine RRDE Worksheet'!F12</f>
        <v>1.1818181818181819</v>
      </c>
      <c r="C5" s="19">
        <f>'Pine RRDE Worksheet'!H12/'Pine RRDE Worksheet'!F12</f>
        <v>1.5454545454545454</v>
      </c>
      <c r="D5" s="19">
        <f t="shared" ref="D5:D18" si="1">B5^3-1</f>
        <v>0.6506386175807668</v>
      </c>
      <c r="E5" s="19">
        <f t="shared" ref="E5:E18" si="2">C5^3-B5^3</f>
        <v>2.0405709992486845</v>
      </c>
      <c r="F5" s="19">
        <f t="shared" ref="F5:F18" si="3">1+D5+E5</f>
        <v>3.6912096168294513</v>
      </c>
      <c r="G5" s="19">
        <f t="shared" ref="G5:G18" si="4">D5/E5</f>
        <v>0.31885125184094293</v>
      </c>
      <c r="H5" s="19">
        <f t="shared" ref="H5:H18" si="5">G5*F5</f>
        <v>1.1769468071333977</v>
      </c>
      <c r="I5" s="19">
        <f t="shared" ref="I5:I18" si="6">0.25+(SQRT(3)/(4*PI()))*LN(((1+D5^(1/3))^3)/(1+D5))+(3/(2*PI()))*ATAN((2*D5^(1/3)-1)/SQRT(3))</f>
        <v>0.63013791085496496</v>
      </c>
      <c r="J5" s="19">
        <f t="shared" ref="J5:J18" si="7">0.25+(SQRT(3)/(4*PI()))*LN(((1+G5^(1/3))^3)/(1+G5))+(3/(2*PI()))*ATAN((2*G5^(1/3)-1)/SQRT(3))</f>
        <v>0.52667332122822208</v>
      </c>
      <c r="K5" s="19">
        <f t="shared" ref="K5:K18" si="8">0.25+(SQRT(3)/(4*PI()))*LN((1+H5^(1/3))^3/(1+H5))+(3/(2*PI()))*ATAN((2*H5^(1/3)-1)/SQRT(3))</f>
        <v>0.7132057202784523</v>
      </c>
    </row>
    <row r="6" spans="1:11" ht="13.5" x14ac:dyDescent="0.25">
      <c r="A6" s="19">
        <f t="shared" si="0"/>
        <v>0.21788853505086797</v>
      </c>
      <c r="B6" s="19">
        <f>'Pine RRDE Worksheet'!G13/'Pine RRDE Worksheet'!F13</f>
        <v>1.0787746170678336</v>
      </c>
      <c r="C6" s="19">
        <f>'Pine RRDE Worksheet'!H13/'Pine RRDE Worksheet'!F13</f>
        <v>1.1772428884026258</v>
      </c>
      <c r="D6" s="19">
        <f t="shared" si="1"/>
        <v>0.25542900326896389</v>
      </c>
      <c r="E6" s="19">
        <f t="shared" si="2"/>
        <v>0.37611287909968349</v>
      </c>
      <c r="F6" s="19">
        <f t="shared" si="3"/>
        <v>1.6315418823686474</v>
      </c>
      <c r="G6" s="19">
        <f t="shared" si="4"/>
        <v>0.67912857406104932</v>
      </c>
      <c r="H6" s="19">
        <f t="shared" si="5"/>
        <v>1.1080267120938998</v>
      </c>
      <c r="I6" s="19">
        <f t="shared" si="6"/>
        <v>0.49536899064030726</v>
      </c>
      <c r="J6" s="19">
        <f t="shared" si="7"/>
        <v>0.63633123020788607</v>
      </c>
      <c r="K6" s="19">
        <f t="shared" si="8"/>
        <v>0.7050886647761645</v>
      </c>
    </row>
    <row r="7" spans="1:11" ht="13.5" x14ac:dyDescent="0.25">
      <c r="A7" s="19">
        <f t="shared" si="0"/>
        <v>0.37049065895336464</v>
      </c>
      <c r="B7" s="19">
        <f>'Pine RRDE Worksheet'!G14/'Pine RRDE Worksheet'!F14</f>
        <v>1.1140819964349375</v>
      </c>
      <c r="C7" s="19">
        <f>'Pine RRDE Worksheet'!H14/'Pine RRDE Worksheet'!F14</f>
        <v>1.4117647058823528</v>
      </c>
      <c r="D7" s="19">
        <f t="shared" si="1"/>
        <v>0.38277483821352054</v>
      </c>
      <c r="E7" s="19">
        <f t="shared" si="2"/>
        <v>1.4309845755866009</v>
      </c>
      <c r="F7" s="19">
        <f t="shared" si="3"/>
        <v>2.8137594138001214</v>
      </c>
      <c r="G7" s="19">
        <f t="shared" si="4"/>
        <v>0.26749054094912961</v>
      </c>
      <c r="H7" s="19">
        <f t="shared" si="5"/>
        <v>0.7526540276981003</v>
      </c>
      <c r="I7" s="19">
        <f t="shared" si="6"/>
        <v>0.55295716746861301</v>
      </c>
      <c r="J7" s="19">
        <f t="shared" si="7"/>
        <v>0.50181607762074854</v>
      </c>
      <c r="K7" s="19">
        <f t="shared" si="8"/>
        <v>0.65110469499695656</v>
      </c>
    </row>
    <row r="8" spans="1:11" ht="13.5" x14ac:dyDescent="0.25">
      <c r="A8" s="19">
        <f t="shared" ref="A8" si="9">1-J8+E8^(2/3)*(1-I8)-(F8^(2/3))*(1-K8)</f>
        <v>0.43853090690177499</v>
      </c>
      <c r="B8" s="19">
        <f>'Pine RRDE Worksheet'!G15/'Pine RRDE Worksheet'!F15</f>
        <v>1.2</v>
      </c>
      <c r="C8" s="19">
        <f>'Pine RRDE Worksheet'!H15/'Pine RRDE Worksheet'!F15</f>
        <v>1.7</v>
      </c>
      <c r="D8" s="19">
        <f t="shared" ref="D8" si="10">B8^3-1</f>
        <v>0.72799999999999998</v>
      </c>
      <c r="E8" s="19">
        <f t="shared" ref="E8" si="11">C8^3-B8^3</f>
        <v>3.1849999999999996</v>
      </c>
      <c r="F8" s="19">
        <f t="shared" ref="F8" si="12">1+D8+E8</f>
        <v>4.9129999999999994</v>
      </c>
      <c r="G8" s="19">
        <f t="shared" ref="G8" si="13">D8/E8</f>
        <v>0.22857142857142859</v>
      </c>
      <c r="H8" s="19">
        <f t="shared" ref="H8" si="14">G8*F8</f>
        <v>1.1229714285714285</v>
      </c>
      <c r="I8" s="19">
        <f t="shared" ref="I8" si="15">0.25+(SQRT(3)/(4*PI()))*LN(((1+D8^(1/3))^3)/(1+D8))+(3/(2*PI()))*ATAN((2*D8^(1/3)-1)/SQRT(3))</f>
        <v>0.64633237387017595</v>
      </c>
      <c r="J8" s="19">
        <f t="shared" ref="J8" si="16">0.25+(SQRT(3)/(4*PI()))*LN(((1+G8^(1/3))^3)/(1+G8))+(3/(2*PI()))*ATAN((2*G8^(1/3)-1)/SQRT(3))</f>
        <v>0.48000732855826106</v>
      </c>
      <c r="K8" s="19">
        <f t="shared" ref="K8" si="17">0.25+(SQRT(3)/(4*PI()))*LN((1+H8^(1/3))^3/(1+H8))+(3/(2*PI()))*ATAN((2*H8^(1/3)-1)/SQRT(3))</f>
        <v>0.70689924243539415</v>
      </c>
    </row>
    <row r="9" spans="1:11" ht="13.5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ht="13.5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ht="13.5" x14ac:dyDescent="0.25">
      <c r="A11" s="19">
        <f t="shared" si="0"/>
        <v>0.21788853505086797</v>
      </c>
      <c r="B11" s="19">
        <f>'Pine RRDE Worksheet'!G18/'Pine RRDE Worksheet'!F18</f>
        <v>1.0787746170678336</v>
      </c>
      <c r="C11" s="19">
        <f>'Pine RRDE Worksheet'!H18/'Pine RRDE Worksheet'!F18</f>
        <v>1.1772428884026258</v>
      </c>
      <c r="D11" s="19">
        <f t="shared" si="1"/>
        <v>0.25542900326896389</v>
      </c>
      <c r="E11" s="19">
        <f t="shared" si="2"/>
        <v>0.37611287909968349</v>
      </c>
      <c r="F11" s="19">
        <f t="shared" si="3"/>
        <v>1.6315418823686474</v>
      </c>
      <c r="G11" s="19">
        <f t="shared" si="4"/>
        <v>0.67912857406104932</v>
      </c>
      <c r="H11" s="19">
        <f t="shared" si="5"/>
        <v>1.1080267120938998</v>
      </c>
      <c r="I11" s="19">
        <f t="shared" si="6"/>
        <v>0.49536899064030726</v>
      </c>
      <c r="J11" s="19">
        <f t="shared" si="7"/>
        <v>0.63633123020788607</v>
      </c>
      <c r="K11" s="19">
        <f t="shared" si="8"/>
        <v>0.7050886647761645</v>
      </c>
    </row>
    <row r="12" spans="1:11" ht="13.5" x14ac:dyDescent="0.25">
      <c r="A12" s="19">
        <f t="shared" si="0"/>
        <v>0.37049065895336464</v>
      </c>
      <c r="B12" s="19">
        <f>'Pine RRDE Worksheet'!G19/'Pine RRDE Worksheet'!F19</f>
        <v>1.1140819964349375</v>
      </c>
      <c r="C12" s="19">
        <f>'Pine RRDE Worksheet'!H19/'Pine RRDE Worksheet'!F19</f>
        <v>1.4117647058823528</v>
      </c>
      <c r="D12" s="19">
        <f t="shared" si="1"/>
        <v>0.38277483821352054</v>
      </c>
      <c r="E12" s="19">
        <f t="shared" si="2"/>
        <v>1.4309845755866009</v>
      </c>
      <c r="F12" s="19">
        <f t="shared" si="3"/>
        <v>2.8137594138001214</v>
      </c>
      <c r="G12" s="19">
        <f t="shared" si="4"/>
        <v>0.26749054094912961</v>
      </c>
      <c r="H12" s="19">
        <f t="shared" si="5"/>
        <v>0.7526540276981003</v>
      </c>
      <c r="I12" s="19">
        <f t="shared" si="6"/>
        <v>0.55295716746861301</v>
      </c>
      <c r="J12" s="19">
        <f t="shared" si="7"/>
        <v>0.50181607762074854</v>
      </c>
      <c r="K12" s="19">
        <f t="shared" si="8"/>
        <v>0.65110469499695656</v>
      </c>
    </row>
    <row r="13" spans="1:11" ht="13.5" x14ac:dyDescent="0.25">
      <c r="A13" s="19">
        <f t="shared" si="0"/>
        <v>0.23975859134314526</v>
      </c>
      <c r="B13" s="19">
        <f>'Pine RRDE Worksheet'!G20/'Pine RRDE Worksheet'!F20</f>
        <v>1.25</v>
      </c>
      <c r="C13" s="19">
        <f>'Pine RRDE Worksheet'!H20/'Pine RRDE Worksheet'!F20</f>
        <v>1.4166666666666667</v>
      </c>
      <c r="D13" s="19">
        <f t="shared" si="1"/>
        <v>0.953125</v>
      </c>
      <c r="E13" s="19">
        <f t="shared" si="2"/>
        <v>0.89004629629629672</v>
      </c>
      <c r="F13" s="19">
        <f t="shared" si="3"/>
        <v>2.8431712962962967</v>
      </c>
      <c r="G13" s="19">
        <f t="shared" si="4"/>
        <v>1.070871261378413</v>
      </c>
      <c r="H13" s="19">
        <f t="shared" si="5"/>
        <v>3.0446704323797129</v>
      </c>
      <c r="I13" s="19">
        <f t="shared" si="6"/>
        <v>0.68443291179031751</v>
      </c>
      <c r="J13" s="19">
        <f t="shared" si="7"/>
        <v>0.70045828738763127</v>
      </c>
      <c r="K13" s="19">
        <f t="shared" si="8"/>
        <v>0.82472244895958524</v>
      </c>
    </row>
    <row r="14" spans="1:11" ht="13.5" x14ac:dyDescent="0.25">
      <c r="A14" s="19">
        <f t="shared" si="0"/>
        <v>0.22510704935808118</v>
      </c>
      <c r="B14" s="19">
        <f>'Pine RRDE Worksheet'!G21/'Pine RRDE Worksheet'!F21</f>
        <v>1.5</v>
      </c>
      <c r="C14" s="19">
        <f>'Pine RRDE Worksheet'!H21/'Pine RRDE Worksheet'!F21</f>
        <v>1.7</v>
      </c>
      <c r="D14" s="19">
        <f t="shared" si="1"/>
        <v>2.375</v>
      </c>
      <c r="E14" s="19">
        <f t="shared" si="2"/>
        <v>1.5379999999999994</v>
      </c>
      <c r="F14" s="19">
        <f t="shared" si="3"/>
        <v>4.9129999999999994</v>
      </c>
      <c r="G14" s="19">
        <f t="shared" si="4"/>
        <v>1.5442132639791943</v>
      </c>
      <c r="H14" s="19">
        <f t="shared" si="5"/>
        <v>7.5867197659297805</v>
      </c>
      <c r="I14" s="19">
        <f t="shared" si="6"/>
        <v>0.79891400293009962</v>
      </c>
      <c r="J14" s="19">
        <f t="shared" si="7"/>
        <v>0.74840784913547431</v>
      </c>
      <c r="K14" s="19">
        <f t="shared" si="8"/>
        <v>0.8981266804766328</v>
      </c>
    </row>
    <row r="15" spans="1:11" ht="13.5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13.5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ht="13.5" x14ac:dyDescent="0.25">
      <c r="A17" s="19" t="e">
        <f t="shared" si="0"/>
        <v>#DIV/0!</v>
      </c>
      <c r="B17" s="19" t="e">
        <f>'Pine RRDE Worksheet'!G24/'Pine RRDE Worksheet'!F24</f>
        <v>#DIV/0!</v>
      </c>
      <c r="C17" s="19" t="e">
        <f>'Pine RRDE Worksheet'!H24/'Pine RRDE Worksheet'!F24</f>
        <v>#DIV/0!</v>
      </c>
      <c r="D17" s="19" t="e">
        <f t="shared" si="1"/>
        <v>#DIV/0!</v>
      </c>
      <c r="E17" s="19" t="e">
        <f t="shared" si="2"/>
        <v>#DIV/0!</v>
      </c>
      <c r="F17" s="19" t="e">
        <f t="shared" si="3"/>
        <v>#DIV/0!</v>
      </c>
      <c r="G17" s="19" t="e">
        <f t="shared" si="4"/>
        <v>#DIV/0!</v>
      </c>
      <c r="H17" s="19" t="e">
        <f t="shared" si="5"/>
        <v>#DIV/0!</v>
      </c>
      <c r="I17" s="19" t="e">
        <f t="shared" si="6"/>
        <v>#DIV/0!</v>
      </c>
      <c r="J17" s="19" t="e">
        <f t="shared" si="7"/>
        <v>#DIV/0!</v>
      </c>
      <c r="K17" s="19" t="e">
        <f t="shared" si="8"/>
        <v>#DIV/0!</v>
      </c>
    </row>
    <row r="18" spans="1:11" ht="13.5" x14ac:dyDescent="0.25">
      <c r="A18" s="19" t="e">
        <f t="shared" si="0"/>
        <v>#VALUE!</v>
      </c>
      <c r="B18" s="19" t="e">
        <f>'Pine RRDE Worksheet'!G25/'Pine RRDE Worksheet'!F25</f>
        <v>#VALUE!</v>
      </c>
      <c r="C18" s="19" t="e">
        <f>'Pine RRDE Worksheet'!H25/'Pine RRDE Worksheet'!F25</f>
        <v>#VALUE!</v>
      </c>
      <c r="D18" s="19" t="e">
        <f t="shared" si="1"/>
        <v>#VALUE!</v>
      </c>
      <c r="E18" s="19" t="e">
        <f t="shared" si="2"/>
        <v>#VALUE!</v>
      </c>
      <c r="F18" s="19" t="e">
        <f t="shared" si="3"/>
        <v>#VALUE!</v>
      </c>
      <c r="G18" s="19" t="e">
        <f t="shared" si="4"/>
        <v>#VALUE!</v>
      </c>
      <c r="H18" s="19" t="e">
        <f t="shared" si="5"/>
        <v>#VALUE!</v>
      </c>
      <c r="I18" s="19" t="e">
        <f t="shared" si="6"/>
        <v>#VALUE!</v>
      </c>
      <c r="J18" s="19" t="e">
        <f t="shared" si="7"/>
        <v>#VALUE!</v>
      </c>
      <c r="K18" s="19" t="e">
        <f t="shared" si="8"/>
        <v>#VALUE!</v>
      </c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Pine RRDE Worksheet</vt:lpstr>
      <vt:lpstr>Intermediate Calculations</vt:lpstr>
      <vt:lpstr>'Pine RRDE Worksheet'!Print_Area</vt:lpstr>
    </vt:vector>
  </TitlesOfParts>
  <Company>Pine Research Instrumentation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Rotated Ring-Disk Electrode Calculator</dc:title>
  <dc:subject>Computes RRDE Collection Efficiencies</dc:subject>
  <dc:creator>www.pineinst.com/echem</dc:creator>
  <cp:lastModifiedBy>Neil Spinner</cp:lastModifiedBy>
  <cp:lastPrinted>2005-04-27T19:48:25Z</cp:lastPrinted>
  <dcterms:created xsi:type="dcterms:W3CDTF">1997-12-03T15:02:19Z</dcterms:created>
  <dcterms:modified xsi:type="dcterms:W3CDTF">2019-03-13T17:10:04Z</dcterms:modified>
</cp:coreProperties>
</file>